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200" windowHeight="7050" tabRatio="5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<sst xmlns="http://schemas.openxmlformats.org/spreadsheetml/2006/main" count="29" uniqueCount="29">
  <si>
    <t>The lack-of-fit test</t>
  </si>
  <si>
    <t>H_0</t>
  </si>
  <si>
    <t>There is no lack of fit</t>
  </si>
  <si>
    <t>H_A</t>
  </si>
  <si>
    <t>There is lack of fit</t>
  </si>
  <si>
    <t>Concentration (ppb)</t>
  </si>
  <si>
    <t>Mean signal</t>
  </si>
  <si>
    <t>(mean-calculated)^2</t>
  </si>
  <si>
    <t>(Signal1(i)-mean_signal(i))^2</t>
  </si>
  <si>
    <t>(Signal2(i)-mean_signal(i))^2</t>
  </si>
  <si>
    <t>(Signal3(i)-mean_signal(i))^2</t>
  </si>
  <si>
    <t>(Signal4(i)-mean_signal(i))^2</t>
  </si>
  <si>
    <t>slope</t>
  </si>
  <si>
    <t>intercept</t>
  </si>
  <si>
    <t>n</t>
  </si>
  <si>
    <t>p</t>
  </si>
  <si>
    <t>DoF (numerator, n-2)=</t>
  </si>
  <si>
    <t>DoF (denominator, n*(p-1))=</t>
  </si>
  <si>
    <t>F_tab=</t>
  </si>
  <si>
    <t>F_calc=</t>
  </si>
  <si>
    <t>Signal 1 (au)</t>
  </si>
  <si>
    <t>Signal 2 (au)</t>
  </si>
  <si>
    <t>Signal 3 (au)</t>
  </si>
  <si>
    <t>Signal 4 (au)</t>
  </si>
  <si>
    <t>Signal_calc (au)</t>
  </si>
  <si>
    <t>MSS (LoF)</t>
  </si>
  <si>
    <t>MSS (error)</t>
  </si>
  <si>
    <t>au/ppb</t>
  </si>
  <si>
    <t>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</si>
</sst>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2" borderId="0" xfId="0" applyFont="1" applyFill="1"/>
    <xf numFmtId="3" fontId="5" fillId="0" borderId="0" xfId="0" applyNumberFormat="1" applyFont="1" applyBorder="1"/>
    <xf numFmtId="1" fontId="5" fillId="2" borderId="0" xfId="0" applyNumberFormat="1" applyFont="1" applyFill="1"/>
    <xf numFmtId="1" fontId="5" fillId="0" borderId="0" xfId="0" applyNumberFormat="1" applyFont="1"/>
    <xf numFmtId="3" fontId="5" fillId="0" borderId="0" xfId="0" applyNumberFormat="1" applyFont="1" applyFill="1" applyBorder="1"/>
    <xf numFmtId="0" fontId="5" fillId="0" borderId="0" xfId="0" applyFont="1" applyFill="1"/>
    <xf numFmtId="2" fontId="5" fillId="0" borderId="0" xfId="0" applyNumberFormat="1" applyFont="1"/>
    <xf numFmtId="0" fontId="5" fillId="2" borderId="0" xfId="0" applyFont="1" applyFill="1"/>
    <xf numFmtId="164" fontId="5" fillId="2" borderId="0" xfId="0" applyNumberFormat="1" applyFont="1" applyFill="1"/>
    <xf numFmtId="0" fontId="2" fillId="0" borderId="0" xfId="0" applyFont="1" applyAlignment="1">
      <alignment horizontal="center" wrapText="1"/>
    </xf>
    <xf numFmtId="166" fontId="5" fillId="0" borderId="0" xfId="0" applyNumberFormat="1" applyFont="1" applyBorder="1"/>
    <xf numFmtId="165" fontId="4" fillId="0" borderId="0" xfId="0" applyNumberFormat="1" applyFont="1" applyFill="1" applyBorder="1"/>
    <xf numFmtId="2" fontId="5" fillId="0" borderId="0" xfId="0" applyNumberFormat="1" applyFont="1" applyFill="1"/>
    <xf numFmtId="1" fontId="5" fillId="3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0</xdr:rowOff>
    </xdr:from>
    <xdr:to>
      <xdr:col>12</xdr:col>
      <xdr:colOff>495300</xdr:colOff>
      <xdr:row>5</xdr:row>
      <xdr:rowOff>219075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175" y="552450"/>
          <a:ext cx="10182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 topLeftCell="A1">
      <selection activeCell="O10" sqref="O10"/>
    </sheetView>
  </sheetViews>
  <sheetFormatPr defaultColWidth="11.00390625" defaultRowHeight="15.75"/>
  <cols>
    <col min="1" max="1" width="13.00390625" style="0" customWidth="1"/>
    <col min="2" max="2" width="9.125" style="0" customWidth="1"/>
    <col min="3" max="3" width="9.00390625" style="0" customWidth="1"/>
    <col min="4" max="4" width="8.875" style="0" customWidth="1"/>
    <col min="5" max="5" width="8.625" style="0" customWidth="1"/>
    <col min="6" max="6" width="10.50390625" style="0" customWidth="1"/>
    <col min="7" max="7" width="13.00390625" style="0" customWidth="1"/>
    <col min="8" max="8" width="14.125" style="0" customWidth="1"/>
    <col min="11" max="14" width="16.125" style="0" bestFit="1" customWidth="1"/>
    <col min="15" max="15" width="12.125" style="0" bestFit="1" customWidth="1"/>
  </cols>
  <sheetData>
    <row r="1" spans="1:15" s="1" customFormat="1" ht="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5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>
      <c r="A3" s="3" t="s">
        <v>3</v>
      </c>
      <c r="B3" s="3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31">
      <c r="A9" s="15" t="s">
        <v>5</v>
      </c>
      <c r="B9" s="15" t="s">
        <v>20</v>
      </c>
      <c r="C9" s="15" t="s">
        <v>21</v>
      </c>
      <c r="D9" s="15" t="s">
        <v>22</v>
      </c>
      <c r="E9" s="15" t="s">
        <v>23</v>
      </c>
      <c r="F9" s="15" t="s">
        <v>6</v>
      </c>
      <c r="G9" s="4" t="s">
        <v>24</v>
      </c>
      <c r="H9" s="4" t="s">
        <v>7</v>
      </c>
      <c r="I9" s="6" t="s">
        <v>25</v>
      </c>
      <c r="K9" s="4" t="s">
        <v>8</v>
      </c>
      <c r="L9" s="4" t="s">
        <v>9</v>
      </c>
      <c r="M9" s="4" t="s">
        <v>10</v>
      </c>
      <c r="N9" s="4" t="s">
        <v>11</v>
      </c>
      <c r="O9" s="6" t="s">
        <v>26</v>
      </c>
    </row>
    <row r="10" spans="1:15" ht="18.5">
      <c r="A10" s="17">
        <v>0.15571312005414067</v>
      </c>
      <c r="B10" s="7">
        <v>162</v>
      </c>
      <c r="C10" s="7">
        <v>182</v>
      </c>
      <c r="D10" s="7">
        <v>151</v>
      </c>
      <c r="E10" s="7">
        <v>171</v>
      </c>
      <c r="F10" s="16">
        <f>AVERAGE(B10:E10)</f>
        <v>166.5</v>
      </c>
      <c r="G10" s="16">
        <f>$B$18*A10+$B$19</f>
        <v>171.930948190941</v>
      </c>
      <c r="H10" s="7">
        <f>(F10-G10)^2</f>
        <v>29.49519825268527</v>
      </c>
      <c r="I10" s="19">
        <f>B22*SUM(H10:H16)/(B21-2)</f>
        <v>2955.8184849978597</v>
      </c>
      <c r="J10" s="3"/>
      <c r="K10" s="9">
        <f>(B10-F10)^2</f>
        <v>20.25</v>
      </c>
      <c r="L10" s="9">
        <f>(C10-F10)^2</f>
        <v>240.25</v>
      </c>
      <c r="M10" s="9">
        <f>(D10-F10)^2</f>
        <v>240.25</v>
      </c>
      <c r="N10" s="9">
        <f>(E10-F10)^2</f>
        <v>20.25</v>
      </c>
      <c r="O10" s="8">
        <f>SUM(K10:N16)/(B21*(B22-1))</f>
        <v>3115.8809523809523</v>
      </c>
    </row>
    <row r="11" spans="1:15" ht="18.5">
      <c r="A11" s="17">
        <v>0.7785656002707034</v>
      </c>
      <c r="B11" s="7">
        <v>232</v>
      </c>
      <c r="C11" s="7">
        <v>296</v>
      </c>
      <c r="D11" s="7">
        <v>271</v>
      </c>
      <c r="E11" s="7">
        <v>231</v>
      </c>
      <c r="F11" s="16">
        <f aca="true" t="shared" si="0" ref="F11:F16">AVERAGE(B11:E11)</f>
        <v>257.5</v>
      </c>
      <c r="G11" s="16">
        <f aca="true" t="shared" si="1" ref="G11:G16">$B$18*A11+$B$19</f>
        <v>281.10566232827415</v>
      </c>
      <c r="H11" s="7">
        <f aca="true" t="shared" si="2" ref="H11:H16">(F11-G11)^2</f>
        <v>557.2272939565014</v>
      </c>
      <c r="I11" s="3"/>
      <c r="J11" s="3"/>
      <c r="K11" s="9">
        <f aca="true" t="shared" si="3" ref="K11:K16">(B11-F11)^2</f>
        <v>650.25</v>
      </c>
      <c r="L11" s="9">
        <f aca="true" t="shared" si="4" ref="L11:L16">(C11-F11)^2</f>
        <v>1482.25</v>
      </c>
      <c r="M11" s="9">
        <f aca="true" t="shared" si="5" ref="M11:M16">(D11-F11)^2</f>
        <v>182.25</v>
      </c>
      <c r="N11" s="9">
        <f aca="true" t="shared" si="6" ref="N11:N16">(E11-F11)^2</f>
        <v>702.25</v>
      </c>
      <c r="O11" s="3"/>
    </row>
    <row r="12" spans="1:15" ht="18.5">
      <c r="A12" s="17">
        <v>2</v>
      </c>
      <c r="B12" s="10">
        <v>523</v>
      </c>
      <c r="C12" s="10">
        <v>491</v>
      </c>
      <c r="D12" s="10">
        <v>476</v>
      </c>
      <c r="E12" s="10">
        <v>463</v>
      </c>
      <c r="F12" s="16">
        <f t="shared" si="0"/>
        <v>488.25</v>
      </c>
      <c r="G12" s="16">
        <f t="shared" si="1"/>
        <v>495.2009026355553</v>
      </c>
      <c r="H12" s="7">
        <f t="shared" si="2"/>
        <v>48.315047448969345</v>
      </c>
      <c r="I12" s="3"/>
      <c r="J12" s="3"/>
      <c r="K12" s="9">
        <f t="shared" si="3"/>
        <v>1207.5625</v>
      </c>
      <c r="L12" s="9">
        <f t="shared" si="4"/>
        <v>7.5625</v>
      </c>
      <c r="M12" s="9">
        <f t="shared" si="5"/>
        <v>150.0625</v>
      </c>
      <c r="N12" s="9">
        <f t="shared" si="6"/>
        <v>637.5625</v>
      </c>
      <c r="O12" s="3"/>
    </row>
    <row r="13" spans="1:15" ht="18.5">
      <c r="A13" s="17">
        <v>3.892828001353517</v>
      </c>
      <c r="B13" s="7">
        <v>883</v>
      </c>
      <c r="C13" s="7">
        <v>824</v>
      </c>
      <c r="D13" s="7">
        <v>849</v>
      </c>
      <c r="E13" s="7">
        <v>818</v>
      </c>
      <c r="F13" s="16">
        <f t="shared" si="0"/>
        <v>843.5</v>
      </c>
      <c r="G13" s="16">
        <f t="shared" si="1"/>
        <v>826.9792330149398</v>
      </c>
      <c r="H13" s="7">
        <f t="shared" si="2"/>
        <v>272.9357417746539</v>
      </c>
      <c r="I13" s="3"/>
      <c r="J13" s="3"/>
      <c r="K13" s="9">
        <f t="shared" si="3"/>
        <v>1560.25</v>
      </c>
      <c r="L13" s="9">
        <f t="shared" si="4"/>
        <v>380.25</v>
      </c>
      <c r="M13" s="9">
        <f t="shared" si="5"/>
        <v>30.25</v>
      </c>
      <c r="N13" s="9">
        <f t="shared" si="6"/>
        <v>650.25</v>
      </c>
      <c r="O13" s="3"/>
    </row>
    <row r="14" spans="1:15" ht="18.5">
      <c r="A14" s="17">
        <v>15.824831963550892</v>
      </c>
      <c r="B14" s="7">
        <v>3002</v>
      </c>
      <c r="C14" s="7">
        <v>2871</v>
      </c>
      <c r="D14" s="7">
        <v>2880</v>
      </c>
      <c r="E14" s="7">
        <v>2847</v>
      </c>
      <c r="F14" s="16">
        <f t="shared" si="0"/>
        <v>2900</v>
      </c>
      <c r="G14" s="16">
        <f t="shared" si="1"/>
        <v>2918.442561868494</v>
      </c>
      <c r="H14" s="7">
        <f t="shared" si="2"/>
        <v>340.12808827323136</v>
      </c>
      <c r="I14" s="3"/>
      <c r="J14" s="3"/>
      <c r="K14" s="9">
        <f t="shared" si="3"/>
        <v>10404</v>
      </c>
      <c r="L14" s="9">
        <f t="shared" si="4"/>
        <v>841</v>
      </c>
      <c r="M14" s="9">
        <f t="shared" si="5"/>
        <v>400</v>
      </c>
      <c r="N14" s="9">
        <f t="shared" si="6"/>
        <v>2809</v>
      </c>
      <c r="O14" s="3"/>
    </row>
    <row r="15" spans="1:15" ht="18.5">
      <c r="A15" s="17">
        <v>39.56207990887723</v>
      </c>
      <c r="B15" s="7">
        <v>7124</v>
      </c>
      <c r="C15" s="7">
        <v>7194</v>
      </c>
      <c r="D15" s="7">
        <v>7110</v>
      </c>
      <c r="E15" s="7">
        <v>7082</v>
      </c>
      <c r="F15" s="16">
        <f t="shared" si="0"/>
        <v>7127.5</v>
      </c>
      <c r="G15" s="16">
        <f t="shared" si="1"/>
        <v>7079.150500186324</v>
      </c>
      <c r="H15" s="7">
        <f t="shared" si="2"/>
        <v>2337.6741322326284</v>
      </c>
      <c r="I15" s="3"/>
      <c r="J15" s="3"/>
      <c r="K15" s="9">
        <f t="shared" si="3"/>
        <v>12.25</v>
      </c>
      <c r="L15" s="9">
        <f t="shared" si="4"/>
        <v>4422.25</v>
      </c>
      <c r="M15" s="9">
        <f t="shared" si="5"/>
        <v>306.25</v>
      </c>
      <c r="N15" s="9">
        <f t="shared" si="6"/>
        <v>2070.25</v>
      </c>
      <c r="O15" s="3"/>
    </row>
    <row r="16" spans="1:15" ht="18.5">
      <c r="A16" s="17">
        <v>158.24831963550892</v>
      </c>
      <c r="B16" s="7">
        <v>27833</v>
      </c>
      <c r="C16" s="7">
        <v>27791</v>
      </c>
      <c r="D16" s="7">
        <v>28034</v>
      </c>
      <c r="E16" s="7">
        <v>27831</v>
      </c>
      <c r="F16" s="16">
        <f t="shared" si="0"/>
        <v>27872.25</v>
      </c>
      <c r="G16" s="16">
        <f t="shared" si="1"/>
        <v>27882.690191775473</v>
      </c>
      <c r="H16" s="7">
        <f t="shared" si="2"/>
        <v>108.99760430865548</v>
      </c>
      <c r="I16" s="3"/>
      <c r="J16" s="3"/>
      <c r="K16" s="9">
        <f t="shared" si="3"/>
        <v>1540.5625</v>
      </c>
      <c r="L16" s="9">
        <f t="shared" si="4"/>
        <v>6601.5625</v>
      </c>
      <c r="M16" s="9">
        <f t="shared" si="5"/>
        <v>26163.0625</v>
      </c>
      <c r="N16" s="9">
        <f t="shared" si="6"/>
        <v>1701.5625</v>
      </c>
      <c r="O16" s="3"/>
    </row>
    <row r="17" spans="1:15" ht="18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.5">
      <c r="A18" s="11" t="s">
        <v>12</v>
      </c>
      <c r="B18" s="18">
        <f>SLOPE(F10:F16,A10:A16)</f>
        <v>175.28181648947378</v>
      </c>
      <c r="C18" s="3" t="s">
        <v>27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.5">
      <c r="A19" s="3" t="s">
        <v>13</v>
      </c>
      <c r="B19" s="18">
        <f>INTERCEPT(F10:F16,A10:A16)</f>
        <v>144.6372696566077</v>
      </c>
      <c r="C19" s="3" t="s">
        <v>28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.5">
      <c r="A20" s="11"/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5">
      <c r="A21" s="3" t="s">
        <v>14</v>
      </c>
      <c r="B21" s="3">
        <f>COUNT(A10:A16)</f>
        <v>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.5">
      <c r="A22" s="3" t="s">
        <v>15</v>
      </c>
      <c r="B22" s="3">
        <f>COUNT(B10:E10)</f>
        <v>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.5">
      <c r="A24" s="3" t="s">
        <v>16</v>
      </c>
      <c r="B24" s="3"/>
      <c r="D24" s="3">
        <f>B21-2</f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.5">
      <c r="A25" s="3" t="s">
        <v>17</v>
      </c>
      <c r="B25" s="3"/>
      <c r="D25" s="3">
        <f>B21*(B22-1)</f>
        <v>21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.5">
      <c r="A26" s="3" t="s">
        <v>18</v>
      </c>
      <c r="B26" s="12">
        <f>_xlfn.F.INV.RT(0.05,D24,D25)</f>
        <v>2.6847807301748476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.5">
      <c r="A27" s="13" t="s">
        <v>19</v>
      </c>
      <c r="B27" s="14">
        <f>I10/O10</f>
        <v>0.9486301082007695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8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48B1FE93AA8641AB843376EAE09B89" ma:contentTypeVersion="14" ma:contentTypeDescription="Loo uus dokument" ma:contentTypeScope="" ma:versionID="7987bcb7a552aec82e865e1280001be1">
  <xsd:schema xmlns:xsd="http://www.w3.org/2001/XMLSchema" xmlns:xs="http://www.w3.org/2001/XMLSchema" xmlns:p="http://schemas.microsoft.com/office/2006/metadata/properties" xmlns:ns3="a56c5c4f-5a4e-4e3b-b993-94c06525035b" xmlns:ns4="df4d1996-1025-4282-ba99-bf3a5a8cf82c" targetNamespace="http://schemas.microsoft.com/office/2006/metadata/properties" ma:root="true" ma:fieldsID="04aca5adde699e972854b5d4a58a274b" ns3:_="" ns4:_="">
    <xsd:import namespace="a56c5c4f-5a4e-4e3b-b993-94c06525035b"/>
    <xsd:import namespace="df4d1996-1025-4282-ba99-bf3a5a8cf8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c5c4f-5a4e-4e3b-b993-94c0652503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d1996-1025-4282-ba99-bf3a5a8cf82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Vihjeräsi jagami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E33578-8D47-46D4-9389-4868C3C6B9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E1B80C-A66C-4C65-BC39-05EAFBB60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c5c4f-5a4e-4e3b-b993-94c06525035b"/>
    <ds:schemaRef ds:uri="df4d1996-1025-4282-ba99-bf3a5a8cf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E2FB90-AB89-4464-8366-B78B437FD51A}">
  <ds:schemaRefs>
    <ds:schemaRef ds:uri="http://purl.org/dc/terms/"/>
    <ds:schemaRef ds:uri="http://schemas.openxmlformats.org/package/2006/metadata/core-properties"/>
    <ds:schemaRef ds:uri="df4d1996-1025-4282-ba99-bf3a5a8cf82c"/>
    <ds:schemaRef ds:uri="http://schemas.microsoft.com/office/2006/documentManagement/types"/>
    <ds:schemaRef ds:uri="http://schemas.microsoft.com/office/infopath/2007/PartnerControls"/>
    <ds:schemaRef ds:uri="a56c5c4f-5a4e-4e3b-b993-94c06525035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Maarja-Liisa</dc:creator>
  <cp:keywords/>
  <dc:description/>
  <cp:lastModifiedBy>Irja Helm</cp:lastModifiedBy>
  <dcterms:created xsi:type="dcterms:W3CDTF">2016-10-30T14:01:55Z</dcterms:created>
  <dcterms:modified xsi:type="dcterms:W3CDTF">2021-12-21T11:31:53Z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0x0101009E48B1FE93AA8641AB843376EAE09B89</vt:lpwstr>
  </property>
</Properties>
</file>